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2925" windowWidth="11700" windowHeight="31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<sst xmlns="http://schemas.openxmlformats.org/spreadsheetml/2006/main" count="273" uniqueCount="207">
  <si>
    <t>En [W/m2]</t>
  </si>
  <si>
    <t>meteo</t>
  </si>
  <si>
    <t>Ta</t>
  </si>
  <si>
    <t>Ts</t>
  </si>
  <si>
    <t>Tar</t>
  </si>
  <si>
    <t>arrière</t>
  </si>
  <si>
    <t>V [m/s]</t>
  </si>
  <si>
    <t>vent</t>
  </si>
  <si>
    <t>couverture</t>
  </si>
  <si>
    <t>epaisseur</t>
  </si>
  <si>
    <t>epc [m]</t>
  </si>
  <si>
    <t>masse vol</t>
  </si>
  <si>
    <r>
      <t>r</t>
    </r>
    <r>
      <rPr>
        <sz val="10"/>
        <rFont val="Arial"/>
        <family val="0"/>
      </rPr>
      <t>c [kg/m3]</t>
    </r>
  </si>
  <si>
    <t>Cc [J/Kg.K]</t>
  </si>
  <si>
    <t>surface</t>
  </si>
  <si>
    <t>capteur</t>
  </si>
  <si>
    <t>S [m2]</t>
  </si>
  <si>
    <t>inclinaison</t>
  </si>
  <si>
    <t>Hc [rad]</t>
  </si>
  <si>
    <t>emissivite</t>
  </si>
  <si>
    <r>
      <t>e</t>
    </r>
    <r>
      <rPr>
        <sz val="10"/>
        <rFont val="Arial"/>
        <family val="0"/>
      </rPr>
      <t>c (GLO)</t>
    </r>
  </si>
  <si>
    <t>transmission</t>
  </si>
  <si>
    <t>absorption</t>
  </si>
  <si>
    <r>
      <t>t</t>
    </r>
    <r>
      <rPr>
        <sz val="10"/>
        <rFont val="Arial"/>
        <family val="0"/>
      </rPr>
      <t>c (CLO)</t>
    </r>
  </si>
  <si>
    <r>
      <t>a</t>
    </r>
    <r>
      <rPr>
        <sz val="10"/>
        <rFont val="Arial"/>
        <family val="0"/>
      </rPr>
      <t>c (CLO)</t>
    </r>
  </si>
  <si>
    <t>réflexion</t>
  </si>
  <si>
    <r>
      <t>r</t>
    </r>
    <r>
      <rPr>
        <sz val="10"/>
        <rFont val="Arial"/>
        <family val="0"/>
      </rPr>
      <t>c (CLO)</t>
    </r>
  </si>
  <si>
    <t>absorbeur</t>
  </si>
  <si>
    <t>epa [m]</t>
  </si>
  <si>
    <r>
      <t>r</t>
    </r>
    <r>
      <rPr>
        <sz val="10"/>
        <rFont val="Arial"/>
        <family val="0"/>
      </rPr>
      <t>a [kg/m3]</t>
    </r>
  </si>
  <si>
    <t>Ca [J/Kg.K]</t>
  </si>
  <si>
    <r>
      <t>e</t>
    </r>
    <r>
      <rPr>
        <sz val="10"/>
        <rFont val="Arial"/>
        <family val="0"/>
      </rPr>
      <t>a (GLO)</t>
    </r>
  </si>
  <si>
    <r>
      <t>a</t>
    </r>
    <r>
      <rPr>
        <sz val="10"/>
        <rFont val="Arial"/>
        <family val="0"/>
      </rPr>
      <t>a (CLO)</t>
    </r>
  </si>
  <si>
    <t>fluide</t>
  </si>
  <si>
    <t>tubes</t>
  </si>
  <si>
    <t>ept [m]</t>
  </si>
  <si>
    <r>
      <t>r</t>
    </r>
    <r>
      <rPr>
        <sz val="10"/>
        <rFont val="Arial"/>
        <family val="0"/>
      </rPr>
      <t>t [kg/m3]</t>
    </r>
  </si>
  <si>
    <t>Ct [J/Kg.K]</t>
  </si>
  <si>
    <t>D [m]</t>
  </si>
  <si>
    <t>longueur</t>
  </si>
  <si>
    <t>L [m]</t>
  </si>
  <si>
    <t>nombre</t>
  </si>
  <si>
    <t>Nt</t>
  </si>
  <si>
    <t>diametre int</t>
  </si>
  <si>
    <t>entree</t>
  </si>
  <si>
    <t>Tin [°C]</t>
  </si>
  <si>
    <t>débit total</t>
  </si>
  <si>
    <t>Qm [kg/s]</t>
  </si>
  <si>
    <r>
      <t>r</t>
    </r>
    <r>
      <rPr>
        <sz val="10"/>
        <rFont val="Arial"/>
        <family val="0"/>
      </rPr>
      <t xml:space="preserve"> [kg/m3]</t>
    </r>
  </si>
  <si>
    <t>C [J/Kg.K]</t>
  </si>
  <si>
    <t>air ext = sol</t>
  </si>
  <si>
    <t>sky</t>
  </si>
  <si>
    <t>chaleur mas</t>
  </si>
  <si>
    <t>températures initiales (calcul des coefficients d'échange)</t>
  </si>
  <si>
    <t>Tc [°C]</t>
  </si>
  <si>
    <t>Tm [°C]</t>
  </si>
  <si>
    <t>coefficient d'échange global dans la lame d'air</t>
  </si>
  <si>
    <r>
      <t>a</t>
    </r>
    <r>
      <rPr>
        <sz val="10"/>
        <rFont val="Arial"/>
        <family val="0"/>
      </rPr>
      <t>o</t>
    </r>
  </si>
  <si>
    <t>n</t>
  </si>
  <si>
    <t>steph. Boltz.</t>
  </si>
  <si>
    <r>
      <t>s</t>
    </r>
    <r>
      <rPr>
        <sz val="10"/>
        <rFont val="Arial"/>
        <family val="0"/>
      </rPr>
      <t>o</t>
    </r>
  </si>
  <si>
    <t>hci</t>
  </si>
  <si>
    <t>[W/m2K]</t>
  </si>
  <si>
    <t>convectif</t>
  </si>
  <si>
    <t>hri</t>
  </si>
  <si>
    <t>radiatif</t>
  </si>
  <si>
    <t>hi</t>
  </si>
  <si>
    <t xml:space="preserve">coefficient d'échange convectif exterieur </t>
  </si>
  <si>
    <t>hc</t>
  </si>
  <si>
    <t>coefficient d'échange radiatif (sky)</t>
  </si>
  <si>
    <t>hrs</t>
  </si>
  <si>
    <t>coefficient d'échange radiatif (sol)</t>
  </si>
  <si>
    <t>Hc [°]</t>
  </si>
  <si>
    <t>facteur optique</t>
  </si>
  <si>
    <t>b</t>
  </si>
  <si>
    <t>flux solaire absorbé par l'absorbeur</t>
  </si>
  <si>
    <r>
      <t xml:space="preserve">b . </t>
    </r>
    <r>
      <rPr>
        <sz val="10"/>
        <rFont val="Arial"/>
        <family val="2"/>
      </rPr>
      <t>En . S</t>
    </r>
  </si>
  <si>
    <t>[-]</t>
  </si>
  <si>
    <t>[W]</t>
  </si>
  <si>
    <t>facteur optique (couverture)</t>
  </si>
  <si>
    <t>g</t>
  </si>
  <si>
    <r>
      <t xml:space="preserve">g . </t>
    </r>
    <r>
      <rPr>
        <sz val="10"/>
        <rFont val="Arial"/>
        <family val="2"/>
      </rPr>
      <t>En . S</t>
    </r>
  </si>
  <si>
    <t>convection forcée dans la canalisation</t>
  </si>
  <si>
    <t>visco dynam</t>
  </si>
  <si>
    <r>
      <t>m</t>
    </r>
    <r>
      <rPr>
        <sz val="10"/>
        <rFont val="Arial"/>
        <family val="0"/>
      </rPr>
      <t xml:space="preserve"> [Pa.s] [Pl]</t>
    </r>
  </si>
  <si>
    <t>Re</t>
  </si>
  <si>
    <t>conductivité</t>
  </si>
  <si>
    <r>
      <t>l</t>
    </r>
    <r>
      <rPr>
        <sz val="10"/>
        <rFont val="Arial"/>
        <family val="0"/>
      </rPr>
      <t xml:space="preserve"> [W/mK] </t>
    </r>
  </si>
  <si>
    <t>[m/s]</t>
  </si>
  <si>
    <t>Pr</t>
  </si>
  <si>
    <t>Nu</t>
  </si>
  <si>
    <t>laminaire</t>
  </si>
  <si>
    <t>turbulent</t>
  </si>
  <si>
    <t>Vf</t>
  </si>
  <si>
    <t>ho</t>
  </si>
  <si>
    <t>hra</t>
  </si>
  <si>
    <t>le modèle</t>
  </si>
  <si>
    <t>Kc1</t>
  </si>
  <si>
    <t>[W/K]</t>
  </si>
  <si>
    <t>Kr1</t>
  </si>
  <si>
    <t>K1</t>
  </si>
  <si>
    <t>K2</t>
  </si>
  <si>
    <t>har [W/m2K]</t>
  </si>
  <si>
    <t>coeff global</t>
  </si>
  <si>
    <t>epi [m]</t>
  </si>
  <si>
    <t xml:space="preserve">isolant </t>
  </si>
  <si>
    <r>
      <t>l</t>
    </r>
    <r>
      <rPr>
        <sz val="10"/>
        <rFont val="Arial"/>
        <family val="2"/>
      </rPr>
      <t>i</t>
    </r>
    <r>
      <rPr>
        <sz val="10"/>
        <rFont val="Arial"/>
        <family val="0"/>
      </rPr>
      <t xml:space="preserve"> [W/mK] </t>
    </r>
  </si>
  <si>
    <t>K3</t>
  </si>
  <si>
    <r>
      <t>a</t>
    </r>
    <r>
      <rPr>
        <sz val="10"/>
        <rFont val="Arial"/>
        <family val="2"/>
      </rPr>
      <t xml:space="preserve"> [1/m]</t>
    </r>
  </si>
  <si>
    <t>K4</t>
  </si>
  <si>
    <t>C1</t>
  </si>
  <si>
    <t>C2</t>
  </si>
  <si>
    <t>C3</t>
  </si>
  <si>
    <t>[J/K]</t>
  </si>
  <si>
    <t>en régime permanent : A.T = B</t>
  </si>
  <si>
    <t>A</t>
  </si>
  <si>
    <t>B</t>
  </si>
  <si>
    <t>A-1</t>
  </si>
  <si>
    <t>T1</t>
  </si>
  <si>
    <t>T2</t>
  </si>
  <si>
    <t>T3</t>
  </si>
  <si>
    <t>(couverture)</t>
  </si>
  <si>
    <t>(absorbeur)</t>
  </si>
  <si>
    <t>(fluide)</t>
  </si>
  <si>
    <t>Tout</t>
  </si>
  <si>
    <r>
      <t>F</t>
    </r>
    <r>
      <rPr>
        <b/>
        <sz val="10"/>
        <rFont val="Arial"/>
        <family val="0"/>
      </rPr>
      <t>u</t>
    </r>
  </si>
  <si>
    <r>
      <t>h</t>
    </r>
    <r>
      <rPr>
        <b/>
        <sz val="10"/>
        <rFont val="Arial"/>
        <family val="0"/>
      </rPr>
      <t>i</t>
    </r>
  </si>
  <si>
    <t>[°C]</t>
  </si>
  <si>
    <t>direct+diffus</t>
  </si>
  <si>
    <t>soleil-normal</t>
  </si>
  <si>
    <t>azimuth</t>
  </si>
  <si>
    <t>Azc [rad]</t>
  </si>
  <si>
    <t>diffus-Hz</t>
  </si>
  <si>
    <t>direct-Hz</t>
  </si>
  <si>
    <t>Fdir [W/m2]</t>
  </si>
  <si>
    <t>Fdif [W/m2]</t>
  </si>
  <si>
    <t>hauteur soleil</t>
  </si>
  <si>
    <t>Azimuth</t>
  </si>
  <si>
    <t>Hs [°]</t>
  </si>
  <si>
    <t>Azs [°]</t>
  </si>
  <si>
    <t>Hs [rad]</t>
  </si>
  <si>
    <t>Azs [rad]</t>
  </si>
  <si>
    <t>alb [-]</t>
  </si>
  <si>
    <t>cos(inciden)</t>
  </si>
  <si>
    <t>cos(I) [-]</t>
  </si>
  <si>
    <t>(cf plancher chauffant)</t>
  </si>
  <si>
    <t>angle inciden</t>
  </si>
  <si>
    <t xml:space="preserve"> direct à incidence nulle</t>
  </si>
  <si>
    <t>I [°]</t>
  </si>
  <si>
    <t>I [rad]</t>
  </si>
  <si>
    <t xml:space="preserve">     diffus  </t>
  </si>
  <si>
    <t>albedo du sol</t>
  </si>
  <si>
    <t xml:space="preserve">  ---   direct  (incidence I) + diffus   ---</t>
  </si>
  <si>
    <t xml:space="preserve">     direct (incidence I)</t>
  </si>
  <si>
    <t>K</t>
  </si>
  <si>
    <r>
      <t xml:space="preserve">calcul de En(cal) avec Qm , </t>
    </r>
    <r>
      <rPr>
        <b/>
        <sz val="10"/>
        <rFont val="Symbol"/>
        <family val="1"/>
      </rPr>
      <t xml:space="preserve">b </t>
    </r>
    <r>
      <rPr>
        <b/>
        <sz val="10"/>
        <rFont val="Arial"/>
        <family val="2"/>
      </rPr>
      <t>, K , ho</t>
    </r>
  </si>
  <si>
    <t>En(cal)</t>
  </si>
  <si>
    <r>
      <t>g</t>
    </r>
    <r>
      <rPr>
        <b/>
        <sz val="10"/>
        <rFont val="Arial"/>
        <family val="0"/>
      </rPr>
      <t>1</t>
    </r>
  </si>
  <si>
    <r>
      <t>g</t>
    </r>
    <r>
      <rPr>
        <b/>
        <sz val="10"/>
        <rFont val="Arial"/>
        <family val="0"/>
      </rPr>
      <t>2</t>
    </r>
  </si>
  <si>
    <t>… la différence avec En est due à l'absorption solaire de la couverture</t>
  </si>
  <si>
    <t>Ts(cal)</t>
  </si>
  <si>
    <r>
      <t xml:space="preserve">calcul de Ts(cal) avec K , hc , hra , hrs , epi , </t>
    </r>
    <r>
      <rPr>
        <b/>
        <sz val="10"/>
        <rFont val="Symbol"/>
        <family val="1"/>
      </rPr>
      <t>l</t>
    </r>
    <r>
      <rPr>
        <b/>
        <sz val="10"/>
        <rFont val="Arial"/>
        <family val="2"/>
      </rPr>
      <t>i , har (</t>
    </r>
    <r>
      <rPr>
        <b/>
        <u val="single"/>
        <sz val="10"/>
        <rFont val="Arial"/>
        <family val="2"/>
      </rPr>
      <t>la nuit</t>
    </r>
    <r>
      <rPr>
        <b/>
        <sz val="10"/>
        <rFont val="Arial"/>
        <family val="2"/>
      </rPr>
      <t>)</t>
    </r>
  </si>
  <si>
    <r>
      <t>capteur solaire</t>
    </r>
    <r>
      <rPr>
        <b/>
        <u val="single"/>
        <sz val="11"/>
        <rFont val="Arial"/>
        <family val="2"/>
      </rPr>
      <t xml:space="preserve"> en régime permanent </t>
    </r>
  </si>
  <si>
    <t>temps de parcours d'une particule d'eau entre l'entrée et la sortie</t>
  </si>
  <si>
    <t>[s]</t>
  </si>
  <si>
    <t>… supérieur au pas de temps de calcul en régime dynamique</t>
  </si>
  <si>
    <r>
      <t xml:space="preserve">… </t>
    </r>
    <r>
      <rPr>
        <b/>
        <sz val="10"/>
        <rFont val="Arial"/>
        <family val="2"/>
      </rPr>
      <t>débit = 0</t>
    </r>
    <r>
      <rPr>
        <sz val="10"/>
        <rFont val="Arial"/>
        <family val="0"/>
      </rPr>
      <t xml:space="preserve"> , </t>
    </r>
    <r>
      <rPr>
        <b/>
        <sz val="10"/>
        <rFont val="Arial"/>
        <family val="2"/>
      </rPr>
      <t>En=0</t>
    </r>
    <r>
      <rPr>
        <sz val="10"/>
        <rFont val="Arial"/>
        <family val="0"/>
      </rPr>
      <t xml:space="preserve"> ,  itererer / T° initiales et egalement / Tin et Tout (car Tin est fixé)</t>
    </r>
  </si>
  <si>
    <t>… marche pas en régime dynamique car l eau se refroidit lentement</t>
  </si>
  <si>
    <t>itérer ligne 32 (hi, hra,hrs non lineaires)</t>
  </si>
  <si>
    <t>En : éclairement solaire direct + diffus arrivant perpendiculairement au capteur</t>
  </si>
  <si>
    <t xml:space="preserve">    *0.894</t>
  </si>
  <si>
    <t>formules expérimentales (cf. Thermique du Bâtiment)</t>
  </si>
  <si>
    <t>1-t-r</t>
  </si>
  <si>
    <t>pondéré par</t>
  </si>
  <si>
    <t xml:space="preserve"> (Fdir,Fdif)Hz</t>
  </si>
  <si>
    <t>azimuth : sud (0°) et ouest (90°)</t>
  </si>
  <si>
    <t xml:space="preserve">la non linéarité des échanges convectifs et radatifs </t>
  </si>
  <si>
    <t>calculée</t>
  </si>
  <si>
    <t xml:space="preserve">  initale</t>
  </si>
  <si>
    <t xml:space="preserve">en supposant que les températures de couverture et absorbeur  </t>
  </si>
  <si>
    <t>sont égales aux valeurs initiales.</t>
  </si>
  <si>
    <t>est prise en compte dans les coefficients hi, hrs et hra (lineaires)</t>
  </si>
  <si>
    <t xml:space="preserve">il faut donc itérer jusqu'à la convergence de Tc , Tm pour traiter </t>
  </si>
  <si>
    <t>le problème non linéaire</t>
  </si>
  <si>
    <t xml:space="preserve">se calcul à partir de coefficient moyens (direct+diffus)  </t>
  </si>
  <si>
    <t>de transmission et réflexion pour le vitrage</t>
  </si>
  <si>
    <t>absorption de la couverture</t>
  </si>
  <si>
    <t xml:space="preserve">les caractéristiques thermiques du fluide sont celles définies plus haut </t>
  </si>
  <si>
    <t>résolution en régime permanent</t>
  </si>
  <si>
    <t xml:space="preserve">les capacités ne sont pas utilisées en régime permanent </t>
  </si>
  <si>
    <t>les temperatures calculées (ligne 33) à partir des valeur initiales de Tc et Tm (ligne 32)</t>
  </si>
  <si>
    <t>Tc</t>
  </si>
  <si>
    <t>Tm</t>
  </si>
  <si>
    <t>Tf</t>
  </si>
  <si>
    <t>!!SI  Hs = 0 ALORS (Fdir+Fdif)Hz=0 W/m2</t>
  </si>
  <si>
    <t>pertes convectives avant</t>
  </si>
  <si>
    <t>pertes radiatives avant</t>
  </si>
  <si>
    <t>pertes arirères</t>
  </si>
  <si>
    <t>total</t>
  </si>
  <si>
    <t>… avec T1-Ta</t>
  </si>
  <si>
    <t>… avec T1-Ta  (sol)  et T1-Ts (ciel)</t>
  </si>
  <si>
    <t>total (avec K)</t>
  </si>
  <si>
    <t>… avec T2-Ta</t>
  </si>
  <si>
    <t>… avec T2-Tar</t>
  </si>
  <si>
    <t xml:space="preserve">sur le vitrage </t>
  </si>
  <si>
    <t>écart dû  à l'absorption</t>
  </si>
  <si>
    <r>
      <t xml:space="preserve">… il y a égalité lorsque 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= 0 et Ta=Ts=Tar</t>
    </r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</si>
</sst>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"/>
    <numFmt numFmtId="165" formatCode="0.00000"/>
  </numFmts>
  <fonts count="9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center"/>
    </xf>
    <xf numFmtId="2" fontId="0" fillId="3" borderId="26" xfId="0" applyNumberFormat="1" applyFill="1" applyBorder="1" applyAlignment="1">
      <alignment horizontal="center"/>
    </xf>
    <xf numFmtId="2" fontId="0" fillId="3" borderId="23" xfId="0" applyNumberFormat="1" applyFill="1" applyBorder="1" applyAlignment="1">
      <alignment horizontal="center"/>
    </xf>
    <xf numFmtId="0" fontId="0" fillId="3" borderId="26" xfId="0" applyFont="1" applyFill="1" applyBorder="1" applyAlignment="1">
      <alignment horizontal="left"/>
    </xf>
    <xf numFmtId="0" fontId="0" fillId="3" borderId="2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left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left"/>
    </xf>
    <xf numFmtId="0" fontId="0" fillId="3" borderId="32" xfId="0" applyFill="1" applyBorder="1" applyAlignment="1">
      <alignment/>
    </xf>
    <xf numFmtId="0" fontId="2" fillId="3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0" fillId="3" borderId="36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2" fontId="0" fillId="3" borderId="37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1" fontId="0" fillId="3" borderId="37" xfId="0" applyNumberFormat="1" applyFill="1" applyBorder="1" applyAlignment="1">
      <alignment horizontal="center"/>
    </xf>
    <xf numFmtId="1" fontId="0" fillId="3" borderId="36" xfId="0" applyNumberFormat="1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29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9" xfId="0" applyNumberFormat="1" applyFill="1" applyBorder="1" applyAlignment="1">
      <alignment horizontal="center"/>
    </xf>
    <xf numFmtId="2" fontId="0" fillId="3" borderId="24" xfId="0" applyNumberFormat="1" applyFill="1" applyBorder="1" applyAlignment="1">
      <alignment horizontal="center"/>
    </xf>
    <xf numFmtId="2" fontId="0" fillId="3" borderId="30" xfId="0" applyNumberFormat="1" applyFill="1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2" fontId="0" fillId="3" borderId="38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2" fontId="0" fillId="3" borderId="22" xfId="0" applyNumberFormat="1" applyFill="1" applyBorder="1" applyAlignment="1">
      <alignment horizontal="center"/>
    </xf>
    <xf numFmtId="2" fontId="0" fillId="3" borderId="39" xfId="0" applyNumberFormat="1" applyFill="1" applyBorder="1" applyAlignment="1">
      <alignment horizontal="center"/>
    </xf>
    <xf numFmtId="1" fontId="0" fillId="3" borderId="39" xfId="0" applyNumberFormat="1" applyFont="1" applyFill="1" applyBorder="1" applyAlignment="1">
      <alignment horizontal="center"/>
    </xf>
    <xf numFmtId="0" fontId="5" fillId="4" borderId="14" xfId="0" applyFont="1" applyFill="1" applyBorder="1" applyAlignment="1">
      <alignment horizontal="left"/>
    </xf>
    <xf numFmtId="1" fontId="0" fillId="3" borderId="5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0" fillId="3" borderId="39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31</xdr:row>
      <xdr:rowOff>95250</xdr:rowOff>
    </xdr:from>
    <xdr:to>
      <xdr:col>0</xdr:col>
      <xdr:colOff>695325</xdr:colOff>
      <xdr:row>32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457200" y="5210175"/>
          <a:ext cx="238125" cy="171450"/>
        </a:xfrm>
        <a:custGeom>
          <a:pathLst>
            <a:path h="24" w="18">
              <a:moveTo>
                <a:pt x="18" y="0"/>
              </a:moveTo>
              <a:cubicBezTo>
                <a:pt x="9" y="4"/>
                <a:pt x="0" y="8"/>
                <a:pt x="0" y="12"/>
              </a:cubicBezTo>
              <a:cubicBezTo>
                <a:pt x="0" y="16"/>
                <a:pt x="13" y="22"/>
                <a:pt x="16" y="24"/>
              </a:cubicBezTo>
            </a:path>
          </a:pathLst>
        </a:cu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</xdr:row>
      <xdr:rowOff>85725</xdr:rowOff>
    </xdr:from>
    <xdr:to>
      <xdr:col>3</xdr:col>
      <xdr:colOff>66675</xdr:colOff>
      <xdr:row>8</xdr:row>
      <xdr:rowOff>47625</xdr:rowOff>
    </xdr:to>
    <xdr:sp>
      <xdr:nvSpPr>
        <xdr:cNvPr id="2" name="AutoShape 2"/>
        <xdr:cNvSpPr>
          <a:spLocks/>
        </xdr:cNvSpPr>
      </xdr:nvSpPr>
      <xdr:spPr>
        <a:xfrm rot="15628798" flipH="1">
          <a:off x="2419350" y="1114425"/>
          <a:ext cx="247650" cy="304800"/>
        </a:xfrm>
        <a:custGeom>
          <a:pathLst>
            <a:path h="24" w="18">
              <a:moveTo>
                <a:pt x="18" y="0"/>
              </a:moveTo>
              <a:cubicBezTo>
                <a:pt x="9" y="4"/>
                <a:pt x="0" y="8"/>
                <a:pt x="0" y="12"/>
              </a:cubicBezTo>
              <a:cubicBezTo>
                <a:pt x="0" y="16"/>
                <a:pt x="13" y="22"/>
                <a:pt x="16" y="24"/>
              </a:cubicBezTo>
            </a:path>
          </a:pathLst>
        </a:cu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6</xdr:row>
      <xdr:rowOff>114300</xdr:rowOff>
    </xdr:from>
    <xdr:to>
      <xdr:col>5</xdr:col>
      <xdr:colOff>95250</xdr:colOff>
      <xdr:row>8</xdr:row>
      <xdr:rowOff>76200</xdr:rowOff>
    </xdr:to>
    <xdr:sp>
      <xdr:nvSpPr>
        <xdr:cNvPr id="3" name="AutoShape 3"/>
        <xdr:cNvSpPr>
          <a:spLocks/>
        </xdr:cNvSpPr>
      </xdr:nvSpPr>
      <xdr:spPr>
        <a:xfrm rot="15628798" flipH="1">
          <a:off x="4152900" y="1143000"/>
          <a:ext cx="247650" cy="304800"/>
        </a:xfrm>
        <a:custGeom>
          <a:pathLst>
            <a:path h="24" w="18">
              <a:moveTo>
                <a:pt x="18" y="0"/>
              </a:moveTo>
              <a:cubicBezTo>
                <a:pt x="9" y="4"/>
                <a:pt x="0" y="8"/>
                <a:pt x="0" y="12"/>
              </a:cubicBezTo>
              <a:cubicBezTo>
                <a:pt x="0" y="16"/>
                <a:pt x="13" y="22"/>
                <a:pt x="16" y="24"/>
              </a:cubicBezTo>
            </a:path>
          </a:pathLst>
        </a:cu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628650</xdr:colOff>
      <xdr:row>0</xdr:row>
      <xdr:rowOff>0</xdr:rowOff>
    </xdr:from>
    <xdr:to>
      <xdr:col>7</xdr:col>
      <xdr:colOff>104775</xdr:colOff>
      <xdr:row>1</xdr:row>
      <xdr:rowOff>38100</xdr:rowOff>
    </xdr:to>
    <xdr:sp>
      <xdr:nvSpPr>
        <xdr:cNvPr id="4" name="AutoShape 4"/>
        <xdr:cNvSpPr>
          <a:spLocks/>
        </xdr:cNvSpPr>
      </xdr:nvSpPr>
      <xdr:spPr>
        <a:xfrm rot="15628798" flipH="1">
          <a:off x="5819775" y="0"/>
          <a:ext cx="238125" cy="238125"/>
        </a:xfrm>
        <a:custGeom>
          <a:pathLst>
            <a:path h="24" w="18">
              <a:moveTo>
                <a:pt x="18" y="0"/>
              </a:moveTo>
              <a:cubicBezTo>
                <a:pt x="9" y="4"/>
                <a:pt x="0" y="8"/>
                <a:pt x="0" y="12"/>
              </a:cubicBezTo>
              <a:cubicBezTo>
                <a:pt x="0" y="16"/>
                <a:pt x="13" y="22"/>
                <a:pt x="16" y="24"/>
              </a:cubicBezTo>
            </a:path>
          </a:pathLst>
        </a:cu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657225</xdr:colOff>
      <xdr:row>0</xdr:row>
      <xdr:rowOff>0</xdr:rowOff>
    </xdr:from>
    <xdr:to>
      <xdr:col>9</xdr:col>
      <xdr:colOff>133350</xdr:colOff>
      <xdr:row>1</xdr:row>
      <xdr:rowOff>38100</xdr:rowOff>
    </xdr:to>
    <xdr:sp>
      <xdr:nvSpPr>
        <xdr:cNvPr id="5" name="AutoShape 5"/>
        <xdr:cNvSpPr>
          <a:spLocks/>
        </xdr:cNvSpPr>
      </xdr:nvSpPr>
      <xdr:spPr>
        <a:xfrm rot="15628798" flipH="1">
          <a:off x="7372350" y="0"/>
          <a:ext cx="238125" cy="238125"/>
        </a:xfrm>
        <a:custGeom>
          <a:pathLst>
            <a:path h="24" w="18">
              <a:moveTo>
                <a:pt x="18" y="0"/>
              </a:moveTo>
              <a:cubicBezTo>
                <a:pt x="9" y="4"/>
                <a:pt x="0" y="8"/>
                <a:pt x="0" y="12"/>
              </a:cubicBezTo>
              <a:cubicBezTo>
                <a:pt x="0" y="16"/>
                <a:pt x="13" y="22"/>
                <a:pt x="16" y="24"/>
              </a:cubicBezTo>
            </a:path>
          </a:pathLst>
        </a:cu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66675</xdr:rowOff>
    </xdr:from>
    <xdr:to>
      <xdr:col>6</xdr:col>
      <xdr:colOff>238125</xdr:colOff>
      <xdr:row>0</xdr:row>
      <xdr:rowOff>66675</xdr:rowOff>
    </xdr:to>
    <xdr:sp>
      <xdr:nvSpPr>
        <xdr:cNvPr id="6" name="Line 7"/>
        <xdr:cNvSpPr>
          <a:spLocks/>
        </xdr:cNvSpPr>
      </xdr:nvSpPr>
      <xdr:spPr>
        <a:xfrm flipH="1">
          <a:off x="3105150" y="66675"/>
          <a:ext cx="23241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666750</xdr:colOff>
      <xdr:row>15</xdr:row>
      <xdr:rowOff>38100</xdr:rowOff>
    </xdr:from>
    <xdr:to>
      <xdr:col>7</xdr:col>
      <xdr:colOff>219075</xdr:colOff>
      <xdr:row>16</xdr:row>
      <xdr:rowOff>76200</xdr:rowOff>
    </xdr:to>
    <xdr:sp>
      <xdr:nvSpPr>
        <xdr:cNvPr id="7" name="AutoShape 8"/>
        <xdr:cNvSpPr>
          <a:spLocks/>
        </xdr:cNvSpPr>
      </xdr:nvSpPr>
      <xdr:spPr>
        <a:xfrm rot="4770340" flipH="1">
          <a:off x="5857875" y="2562225"/>
          <a:ext cx="314325" cy="200025"/>
        </a:xfrm>
        <a:custGeom>
          <a:pathLst>
            <a:path h="24" w="18">
              <a:moveTo>
                <a:pt x="18" y="0"/>
              </a:moveTo>
              <a:cubicBezTo>
                <a:pt x="9" y="4"/>
                <a:pt x="0" y="8"/>
                <a:pt x="0" y="12"/>
              </a:cubicBezTo>
              <a:cubicBezTo>
                <a:pt x="0" y="16"/>
                <a:pt x="13" y="22"/>
                <a:pt x="16" y="24"/>
              </a:cubicBezTo>
            </a:path>
          </a:pathLst>
        </a:cu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666750</xdr:colOff>
      <xdr:row>14</xdr:row>
      <xdr:rowOff>57150</xdr:rowOff>
    </xdr:from>
    <xdr:to>
      <xdr:col>9</xdr:col>
      <xdr:colOff>104775</xdr:colOff>
      <xdr:row>16</xdr:row>
      <xdr:rowOff>38100</xdr:rowOff>
    </xdr:to>
    <xdr:sp>
      <xdr:nvSpPr>
        <xdr:cNvPr id="8" name="AutoShape 9"/>
        <xdr:cNvSpPr>
          <a:spLocks/>
        </xdr:cNvSpPr>
      </xdr:nvSpPr>
      <xdr:spPr>
        <a:xfrm rot="21581477" flipH="1" flipV="1">
          <a:off x="7381875" y="2409825"/>
          <a:ext cx="200025" cy="314325"/>
        </a:xfrm>
        <a:custGeom>
          <a:pathLst>
            <a:path h="24" w="18">
              <a:moveTo>
                <a:pt x="18" y="0"/>
              </a:moveTo>
              <a:cubicBezTo>
                <a:pt x="9" y="4"/>
                <a:pt x="0" y="8"/>
                <a:pt x="0" y="12"/>
              </a:cubicBezTo>
              <a:cubicBezTo>
                <a:pt x="0" y="16"/>
                <a:pt x="13" y="22"/>
                <a:pt x="16" y="24"/>
              </a:cubicBezTo>
            </a:path>
          </a:pathLst>
        </a:cu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15</xdr:row>
      <xdr:rowOff>66675</xdr:rowOff>
    </xdr:from>
    <xdr:to>
      <xdr:col>6</xdr:col>
      <xdr:colOff>676275</xdr:colOff>
      <xdr:row>15</xdr:row>
      <xdr:rowOff>66675</xdr:rowOff>
    </xdr:to>
    <xdr:sp>
      <xdr:nvSpPr>
        <xdr:cNvPr id="9" name="Line 10"/>
        <xdr:cNvSpPr>
          <a:spLocks/>
        </xdr:cNvSpPr>
      </xdr:nvSpPr>
      <xdr:spPr>
        <a:xfrm>
          <a:off x="4495800" y="2590800"/>
          <a:ext cx="13716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657225</xdr:colOff>
      <xdr:row>14</xdr:row>
      <xdr:rowOff>133350</xdr:rowOff>
    </xdr:from>
    <xdr:to>
      <xdr:col>10</xdr:col>
      <xdr:colOff>47625</xdr:colOff>
      <xdr:row>23</xdr:row>
      <xdr:rowOff>85725</xdr:rowOff>
    </xdr:to>
    <xdr:sp>
      <xdr:nvSpPr>
        <xdr:cNvPr id="10" name="Rectangle 12"/>
        <xdr:cNvSpPr>
          <a:spLocks/>
        </xdr:cNvSpPr>
      </xdr:nvSpPr>
      <xdr:spPr>
        <a:xfrm>
          <a:off x="6610350" y="2486025"/>
          <a:ext cx="1676400" cy="1419225"/>
        </a:xfrm>
        <a:prstGeom prst="rect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15</xdr:row>
      <xdr:rowOff>104775</xdr:rowOff>
    </xdr:from>
    <xdr:to>
      <xdr:col>7</xdr:col>
      <xdr:colOff>628650</xdr:colOff>
      <xdr:row>19</xdr:row>
      <xdr:rowOff>114300</xdr:rowOff>
    </xdr:to>
    <xdr:sp>
      <xdr:nvSpPr>
        <xdr:cNvPr id="11" name="Line 13"/>
        <xdr:cNvSpPr>
          <a:spLocks/>
        </xdr:cNvSpPr>
      </xdr:nvSpPr>
      <xdr:spPr>
        <a:xfrm flipH="1" flipV="1">
          <a:off x="5495925" y="2628900"/>
          <a:ext cx="1085850" cy="6572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666750</xdr:colOff>
      <xdr:row>14</xdr:row>
      <xdr:rowOff>57150</xdr:rowOff>
    </xdr:from>
    <xdr:to>
      <xdr:col>10</xdr:col>
      <xdr:colOff>104775</xdr:colOff>
      <xdr:row>16</xdr:row>
      <xdr:rowOff>38100</xdr:rowOff>
    </xdr:to>
    <xdr:sp>
      <xdr:nvSpPr>
        <xdr:cNvPr id="12" name="AutoShape 14"/>
        <xdr:cNvSpPr>
          <a:spLocks/>
        </xdr:cNvSpPr>
      </xdr:nvSpPr>
      <xdr:spPr>
        <a:xfrm rot="21581477" flipH="1" flipV="1">
          <a:off x="8143875" y="2409825"/>
          <a:ext cx="200025" cy="314325"/>
        </a:xfrm>
        <a:custGeom>
          <a:pathLst>
            <a:path h="24" w="18">
              <a:moveTo>
                <a:pt x="18" y="0"/>
              </a:moveTo>
              <a:cubicBezTo>
                <a:pt x="9" y="4"/>
                <a:pt x="0" y="8"/>
                <a:pt x="0" y="12"/>
              </a:cubicBezTo>
              <a:cubicBezTo>
                <a:pt x="0" y="16"/>
                <a:pt x="13" y="22"/>
                <a:pt x="16" y="24"/>
              </a:cubicBezTo>
            </a:path>
          </a:pathLst>
        </a:cu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6</xdr:row>
      <xdr:rowOff>66675</xdr:rowOff>
    </xdr:from>
    <xdr:to>
      <xdr:col>7</xdr:col>
      <xdr:colOff>133350</xdr:colOff>
      <xdr:row>7</xdr:row>
      <xdr:rowOff>19050</xdr:rowOff>
    </xdr:to>
    <xdr:sp>
      <xdr:nvSpPr>
        <xdr:cNvPr id="13" name="Line 15"/>
        <xdr:cNvSpPr>
          <a:spLocks/>
        </xdr:cNvSpPr>
      </xdr:nvSpPr>
      <xdr:spPr>
        <a:xfrm flipH="1" flipV="1">
          <a:off x="5800725" y="1095375"/>
          <a:ext cx="285750" cy="123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6</xdr:row>
      <xdr:rowOff>66675</xdr:rowOff>
    </xdr:from>
    <xdr:to>
      <xdr:col>8</xdr:col>
      <xdr:colOff>133350</xdr:colOff>
      <xdr:row>7</xdr:row>
      <xdr:rowOff>38100</xdr:rowOff>
    </xdr:to>
    <xdr:sp>
      <xdr:nvSpPr>
        <xdr:cNvPr id="14" name="Line 16"/>
        <xdr:cNvSpPr>
          <a:spLocks/>
        </xdr:cNvSpPr>
      </xdr:nvSpPr>
      <xdr:spPr>
        <a:xfrm flipH="1" flipV="1">
          <a:off x="6600825" y="1095375"/>
          <a:ext cx="247650" cy="1428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95</xdr:row>
      <xdr:rowOff>114300</xdr:rowOff>
    </xdr:from>
    <xdr:to>
      <xdr:col>9</xdr:col>
      <xdr:colOff>561975</xdr:colOff>
      <xdr:row>96</xdr:row>
      <xdr:rowOff>38100</xdr:rowOff>
    </xdr:to>
    <xdr:sp>
      <xdr:nvSpPr>
        <xdr:cNvPr id="15" name="Line 17"/>
        <xdr:cNvSpPr>
          <a:spLocks/>
        </xdr:cNvSpPr>
      </xdr:nvSpPr>
      <xdr:spPr>
        <a:xfrm>
          <a:off x="5991225" y="15754350"/>
          <a:ext cx="20478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96</xdr:row>
      <xdr:rowOff>133350</xdr:rowOff>
    </xdr:from>
    <xdr:to>
      <xdr:col>9</xdr:col>
      <xdr:colOff>619125</xdr:colOff>
      <xdr:row>97</xdr:row>
      <xdr:rowOff>38100</xdr:rowOff>
    </xdr:to>
    <xdr:sp>
      <xdr:nvSpPr>
        <xdr:cNvPr id="16" name="Line 18"/>
        <xdr:cNvSpPr>
          <a:spLocks/>
        </xdr:cNvSpPr>
      </xdr:nvSpPr>
      <xdr:spPr>
        <a:xfrm flipV="1">
          <a:off x="6010275" y="15944850"/>
          <a:ext cx="20859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="85" zoomScaleNormal="85" workbookViewId="0" topLeftCell="A64">
      <selection activeCell="G101" sqref="G101"/>
    </sheetView>
  </sheetViews>
  <sheetFormatPr defaultColWidth="11.421875" defaultRowHeight="12.75"/>
  <cols>
    <col min="1" max="1" width="11.421875" style="1" customWidth="1"/>
    <col min="2" max="2" width="14.140625" style="1" bestFit="1" customWidth="1"/>
    <col min="3" max="3" width="13.421875" style="1" bestFit="1" customWidth="1"/>
    <col min="4" max="4" width="14.140625" style="1" bestFit="1" customWidth="1"/>
    <col min="5" max="5" width="11.421875" style="1" customWidth="1"/>
    <col min="6" max="6" width="13.28125" style="1" customWidth="1"/>
    <col min="7" max="9" width="11.421875" style="1" customWidth="1"/>
  </cols>
  <sheetData>
    <row r="1" spans="1:3" ht="15.75" thickBot="1">
      <c r="A1" s="115" t="s">
        <v>162</v>
      </c>
      <c r="B1" s="55"/>
      <c r="C1" s="56"/>
    </row>
    <row r="2" spans="1:10" ht="12.75">
      <c r="A2" s="63" t="s">
        <v>145</v>
      </c>
      <c r="B2" s="57"/>
      <c r="C2" s="58"/>
      <c r="D2" s="52" t="s">
        <v>146</v>
      </c>
      <c r="E2" s="43" t="s">
        <v>146</v>
      </c>
      <c r="F2" s="44" t="s">
        <v>143</v>
      </c>
      <c r="G2" s="45" t="s">
        <v>136</v>
      </c>
      <c r="H2" s="30" t="s">
        <v>136</v>
      </c>
      <c r="I2" s="44" t="s">
        <v>137</v>
      </c>
      <c r="J2" s="30" t="s">
        <v>137</v>
      </c>
    </row>
    <row r="3" spans="1:10" ht="13.5" thickBot="1">
      <c r="A3" s="61" t="s">
        <v>168</v>
      </c>
      <c r="B3" s="59"/>
      <c r="C3" s="60"/>
      <c r="D3" s="53" t="s">
        <v>148</v>
      </c>
      <c r="E3" s="46" t="s">
        <v>149</v>
      </c>
      <c r="F3" s="47" t="s">
        <v>144</v>
      </c>
      <c r="G3" s="48" t="s">
        <v>140</v>
      </c>
      <c r="H3" s="31" t="s">
        <v>138</v>
      </c>
      <c r="I3" s="47" t="s">
        <v>141</v>
      </c>
      <c r="J3" s="31" t="s">
        <v>139</v>
      </c>
    </row>
    <row r="4" spans="1:10" ht="13.5" thickBot="1">
      <c r="A4" s="62"/>
      <c r="B4" s="64" t="s">
        <v>128</v>
      </c>
      <c r="C4" s="62"/>
      <c r="D4" s="49">
        <f>180*E4/3.14159</f>
        <v>16.93768515236413</v>
      </c>
      <c r="E4" s="49">
        <f>ACOS(F4)</f>
        <v>0.29561812387675346</v>
      </c>
      <c r="F4" s="50">
        <f>MAX(0,COS(G4)*SIN(C11)*COS(I4-E11)+SIN(G4)*COS(C11))</f>
        <v>0.9566222463030718</v>
      </c>
      <c r="G4" s="51">
        <f>3.14159/180*H4</f>
        <v>0.5235983333333333</v>
      </c>
      <c r="H4" s="32">
        <v>30</v>
      </c>
      <c r="I4" s="50">
        <f>3.14159/180*J4</f>
        <v>0.17453277777777776</v>
      </c>
      <c r="J4" s="32">
        <v>10</v>
      </c>
    </row>
    <row r="5" spans="1:11" ht="12.75">
      <c r="A5" s="2" t="s">
        <v>1</v>
      </c>
      <c r="B5" s="43" t="s">
        <v>129</v>
      </c>
      <c r="C5" s="13" t="s">
        <v>50</v>
      </c>
      <c r="D5" s="17" t="s">
        <v>51</v>
      </c>
      <c r="E5" s="17" t="s">
        <v>5</v>
      </c>
      <c r="F5" s="8" t="s">
        <v>7</v>
      </c>
      <c r="G5" s="14" t="s">
        <v>133</v>
      </c>
      <c r="H5" s="18" t="s">
        <v>132</v>
      </c>
      <c r="I5" s="10" t="s">
        <v>151</v>
      </c>
      <c r="K5" t="s">
        <v>169</v>
      </c>
    </row>
    <row r="6" spans="2:9" ht="12.75">
      <c r="B6" s="46" t="s">
        <v>0</v>
      </c>
      <c r="C6" s="9" t="s">
        <v>2</v>
      </c>
      <c r="D6" s="15" t="s">
        <v>3</v>
      </c>
      <c r="E6" s="15" t="s">
        <v>4</v>
      </c>
      <c r="F6" s="9" t="s">
        <v>6</v>
      </c>
      <c r="G6" s="16" t="s">
        <v>134</v>
      </c>
      <c r="H6" s="19" t="s">
        <v>135</v>
      </c>
      <c r="I6" s="11" t="s">
        <v>142</v>
      </c>
    </row>
    <row r="7" spans="2:9" ht="13.5" thickBot="1">
      <c r="B7" s="49">
        <f>IF(H4&gt;0.1,G7/SIN(G4+0.000001)*F4+H7*(1+COS(C11))/2+(G7+H7)*I7*(1-COS(C11))/2,0)</f>
        <v>660.6815726440257</v>
      </c>
      <c r="C7" s="33">
        <v>10</v>
      </c>
      <c r="D7" s="34">
        <v>10</v>
      </c>
      <c r="E7" s="34">
        <v>10</v>
      </c>
      <c r="F7" s="33">
        <v>2</v>
      </c>
      <c r="G7" s="35">
        <v>200</v>
      </c>
      <c r="H7" s="36">
        <v>300</v>
      </c>
      <c r="I7" s="37">
        <v>0.3</v>
      </c>
    </row>
    <row r="8" spans="6:8" ht="13.5" thickBot="1">
      <c r="F8" s="1" t="s">
        <v>175</v>
      </c>
      <c r="H8" s="4" t="s">
        <v>194</v>
      </c>
    </row>
    <row r="9" spans="1:7" ht="12.75">
      <c r="A9" s="2" t="s">
        <v>15</v>
      </c>
      <c r="B9" s="20" t="s">
        <v>14</v>
      </c>
      <c r="C9" s="45" t="s">
        <v>17</v>
      </c>
      <c r="D9" s="30" t="s">
        <v>17</v>
      </c>
      <c r="E9" s="44" t="s">
        <v>130</v>
      </c>
      <c r="F9" s="30" t="s">
        <v>130</v>
      </c>
      <c r="G9" s="10" t="s">
        <v>59</v>
      </c>
    </row>
    <row r="10" spans="2:10" ht="12.75">
      <c r="B10" s="21" t="s">
        <v>16</v>
      </c>
      <c r="C10" s="48" t="s">
        <v>18</v>
      </c>
      <c r="D10" s="31" t="s">
        <v>72</v>
      </c>
      <c r="E10" s="47" t="s">
        <v>131</v>
      </c>
      <c r="F10" s="31" t="s">
        <v>72</v>
      </c>
      <c r="G10" s="22" t="s">
        <v>60</v>
      </c>
      <c r="J10" s="6"/>
    </row>
    <row r="11" spans="2:7" ht="13.5" thickBot="1">
      <c r="B11" s="38">
        <v>17</v>
      </c>
      <c r="C11" s="65">
        <f>3.14159/180*D11</f>
        <v>0.7853975</v>
      </c>
      <c r="D11" s="32">
        <v>45</v>
      </c>
      <c r="E11" s="66">
        <f>3.14159/180*F11</f>
        <v>0</v>
      </c>
      <c r="F11" s="32">
        <v>0</v>
      </c>
      <c r="G11" s="12">
        <f>5.67/100000000</f>
        <v>5.67E-08</v>
      </c>
    </row>
    <row r="12" spans="6:10" ht="12.75">
      <c r="F12" s="67" t="s">
        <v>152</v>
      </c>
      <c r="G12" s="68"/>
      <c r="H12" s="44"/>
      <c r="I12" s="23" t="s">
        <v>147</v>
      </c>
      <c r="J12" s="24"/>
    </row>
    <row r="13" spans="1:10" ht="12.75">
      <c r="A13" s="2" t="s">
        <v>8</v>
      </c>
      <c r="B13" s="20" t="s">
        <v>9</v>
      </c>
      <c r="C13" s="13" t="s">
        <v>11</v>
      </c>
      <c r="D13" s="8" t="s">
        <v>52</v>
      </c>
      <c r="E13" s="13" t="s">
        <v>19</v>
      </c>
      <c r="F13" s="43" t="s">
        <v>21</v>
      </c>
      <c r="G13" s="44" t="s">
        <v>22</v>
      </c>
      <c r="H13" s="45" t="s">
        <v>25</v>
      </c>
      <c r="I13" s="25" t="s">
        <v>21</v>
      </c>
      <c r="J13" s="26" t="s">
        <v>22</v>
      </c>
    </row>
    <row r="14" spans="2:10" ht="12.75">
      <c r="B14" s="21" t="s">
        <v>10</v>
      </c>
      <c r="C14" s="29" t="s">
        <v>12</v>
      </c>
      <c r="D14" s="9" t="s">
        <v>13</v>
      </c>
      <c r="E14" s="29" t="s">
        <v>20</v>
      </c>
      <c r="F14" s="69" t="s">
        <v>23</v>
      </c>
      <c r="G14" s="70" t="s">
        <v>24</v>
      </c>
      <c r="H14" s="71" t="s">
        <v>26</v>
      </c>
      <c r="I14" s="27" t="s">
        <v>23</v>
      </c>
      <c r="J14" s="28" t="s">
        <v>24</v>
      </c>
    </row>
    <row r="15" spans="2:10" ht="13.5" thickBot="1">
      <c r="B15" s="38">
        <v>0.003</v>
      </c>
      <c r="C15" s="34">
        <v>2500</v>
      </c>
      <c r="D15" s="33">
        <v>790</v>
      </c>
      <c r="E15" s="34">
        <v>0.95</v>
      </c>
      <c r="F15" s="49">
        <f>(G7*I23+H7*I19)/(0.000001+G7+H7)</f>
        <v>0.8053039983893919</v>
      </c>
      <c r="G15" s="66">
        <f>(G7*J23+H7*J19)/(0.000001+G7+H7)</f>
        <v>0.056183999887632</v>
      </c>
      <c r="H15" s="65">
        <f>1-F15-G15</f>
        <v>0.13851200172297606</v>
      </c>
      <c r="I15" s="39">
        <v>0.86</v>
      </c>
      <c r="J15" s="40">
        <v>0.06</v>
      </c>
    </row>
    <row r="16" spans="8:11" ht="12.75">
      <c r="H16" s="3" t="s">
        <v>172</v>
      </c>
      <c r="I16" s="72" t="s">
        <v>150</v>
      </c>
      <c r="J16" s="72" t="s">
        <v>150</v>
      </c>
      <c r="K16" t="s">
        <v>170</v>
      </c>
    </row>
    <row r="17" spans="1:10" ht="12.75">
      <c r="A17" s="2" t="s">
        <v>27</v>
      </c>
      <c r="B17" s="20" t="s">
        <v>9</v>
      </c>
      <c r="C17" s="13" t="s">
        <v>11</v>
      </c>
      <c r="D17" s="8" t="s">
        <v>52</v>
      </c>
      <c r="E17" s="13" t="s">
        <v>19</v>
      </c>
      <c r="F17" s="10" t="s">
        <v>22</v>
      </c>
      <c r="I17" s="73" t="s">
        <v>21</v>
      </c>
      <c r="J17" s="74" t="s">
        <v>22</v>
      </c>
    </row>
    <row r="18" spans="2:10" ht="12.75">
      <c r="B18" s="21" t="s">
        <v>28</v>
      </c>
      <c r="C18" s="29" t="s">
        <v>29</v>
      </c>
      <c r="D18" s="9" t="s">
        <v>30</v>
      </c>
      <c r="E18" s="29" t="s">
        <v>31</v>
      </c>
      <c r="F18" s="22" t="s">
        <v>32</v>
      </c>
      <c r="G18" s="3"/>
      <c r="H18" s="117" t="s">
        <v>173</v>
      </c>
      <c r="I18" s="69" t="s">
        <v>23</v>
      </c>
      <c r="J18" s="75" t="s">
        <v>24</v>
      </c>
    </row>
    <row r="19" spans="2:10" ht="12.75">
      <c r="B19" s="38">
        <v>0.002</v>
      </c>
      <c r="C19" s="34">
        <v>8900</v>
      </c>
      <c r="D19" s="33">
        <v>430</v>
      </c>
      <c r="E19" s="34">
        <v>0.15</v>
      </c>
      <c r="F19" s="37">
        <v>0.95</v>
      </c>
      <c r="H19" s="1" t="s">
        <v>174</v>
      </c>
      <c r="I19" s="49">
        <f>0.894*I15</f>
        <v>0.76884</v>
      </c>
      <c r="J19" s="49">
        <f>0.894*J15</f>
        <v>0.05364</v>
      </c>
    </row>
    <row r="20" spans="9:10" ht="12.75">
      <c r="I20" s="76" t="s">
        <v>153</v>
      </c>
      <c r="J20" s="77"/>
    </row>
    <row r="21" spans="1:10" ht="12.75">
      <c r="A21" s="2" t="s">
        <v>34</v>
      </c>
      <c r="B21" s="20" t="s">
        <v>9</v>
      </c>
      <c r="C21" s="13" t="s">
        <v>11</v>
      </c>
      <c r="D21" s="8" t="s">
        <v>52</v>
      </c>
      <c r="E21" s="13" t="s">
        <v>43</v>
      </c>
      <c r="F21" s="13" t="s">
        <v>39</v>
      </c>
      <c r="G21" s="10" t="s">
        <v>41</v>
      </c>
      <c r="I21" s="73" t="s">
        <v>21</v>
      </c>
      <c r="J21" s="74" t="s">
        <v>22</v>
      </c>
    </row>
    <row r="22" spans="2:10" ht="12.75">
      <c r="B22" s="21" t="s">
        <v>35</v>
      </c>
      <c r="C22" s="29" t="s">
        <v>36</v>
      </c>
      <c r="D22" s="9" t="s">
        <v>37</v>
      </c>
      <c r="E22" s="15" t="s">
        <v>38</v>
      </c>
      <c r="F22" s="15" t="s">
        <v>40</v>
      </c>
      <c r="G22" s="11" t="s">
        <v>42</v>
      </c>
      <c r="H22" s="3"/>
      <c r="I22" s="69" t="s">
        <v>23</v>
      </c>
      <c r="J22" s="75" t="s">
        <v>24</v>
      </c>
    </row>
    <row r="23" spans="2:11" ht="12.75">
      <c r="B23" s="38">
        <v>0.0005</v>
      </c>
      <c r="C23" s="34">
        <v>8900</v>
      </c>
      <c r="D23" s="33">
        <v>430</v>
      </c>
      <c r="E23" s="34">
        <v>0.007</v>
      </c>
      <c r="F23" s="34">
        <v>4</v>
      </c>
      <c r="G23" s="37">
        <v>34</v>
      </c>
      <c r="I23" s="49">
        <f>IF(E4&lt;ACOS(0.8),I15,I15*F4*(2.5-1.56*F4))</f>
        <v>0.86</v>
      </c>
      <c r="J23" s="54">
        <f>IF(E4&lt;ACOS(0.8),J15,J15*F4*(2.5-1.56*F4))</f>
        <v>0.06</v>
      </c>
      <c r="K23" t="s">
        <v>171</v>
      </c>
    </row>
    <row r="25" spans="1:7" ht="12.75">
      <c r="A25" s="2" t="s">
        <v>33</v>
      </c>
      <c r="B25" s="20" t="s">
        <v>44</v>
      </c>
      <c r="C25" s="13" t="s">
        <v>11</v>
      </c>
      <c r="D25" s="8" t="s">
        <v>52</v>
      </c>
      <c r="E25" s="13" t="s">
        <v>46</v>
      </c>
      <c r="F25" s="13" t="s">
        <v>83</v>
      </c>
      <c r="G25" s="10" t="s">
        <v>86</v>
      </c>
    </row>
    <row r="26" spans="2:7" ht="12.75">
      <c r="B26" s="21" t="s">
        <v>45</v>
      </c>
      <c r="C26" s="29" t="s">
        <v>48</v>
      </c>
      <c r="D26" s="9" t="s">
        <v>49</v>
      </c>
      <c r="E26" s="15" t="s">
        <v>47</v>
      </c>
      <c r="F26" s="29" t="s">
        <v>84</v>
      </c>
      <c r="G26" s="22" t="s">
        <v>87</v>
      </c>
    </row>
    <row r="27" spans="2:7" ht="12.75">
      <c r="B27" s="38">
        <v>15</v>
      </c>
      <c r="C27" s="34">
        <v>983</v>
      </c>
      <c r="D27" s="33">
        <v>4187</v>
      </c>
      <c r="E27" s="34">
        <v>0.1</v>
      </c>
      <c r="F27" s="34">
        <f>0.46/1000</f>
        <v>0.00046</v>
      </c>
      <c r="G27" s="37">
        <v>0.65</v>
      </c>
    </row>
    <row r="29" spans="1:9" ht="12.75">
      <c r="A29" s="4" t="s">
        <v>53</v>
      </c>
      <c r="F29" s="4" t="s">
        <v>105</v>
      </c>
      <c r="H29" s="4" t="s">
        <v>5</v>
      </c>
      <c r="I29" s="4"/>
    </row>
    <row r="30" spans="2:8" ht="12.75">
      <c r="B30" s="13" t="s">
        <v>8</v>
      </c>
      <c r="C30" s="13" t="s">
        <v>27</v>
      </c>
      <c r="D30" s="5"/>
      <c r="F30" s="20" t="s">
        <v>9</v>
      </c>
      <c r="G30" s="13" t="s">
        <v>86</v>
      </c>
      <c r="H30" s="13" t="s">
        <v>103</v>
      </c>
    </row>
    <row r="31" spans="2:8" ht="12.75">
      <c r="B31" s="15" t="s">
        <v>54</v>
      </c>
      <c r="C31" s="15" t="s">
        <v>55</v>
      </c>
      <c r="D31" s="5"/>
      <c r="F31" s="21" t="s">
        <v>104</v>
      </c>
      <c r="G31" s="29" t="s">
        <v>106</v>
      </c>
      <c r="H31" s="15" t="s">
        <v>102</v>
      </c>
    </row>
    <row r="32" spans="1:8" ht="12.75">
      <c r="A32" s="119" t="s">
        <v>178</v>
      </c>
      <c r="B32" s="34">
        <v>15.63303235294882</v>
      </c>
      <c r="C32" s="34">
        <v>33.84979691637463</v>
      </c>
      <c r="D32" s="123"/>
      <c r="F32" s="38">
        <v>0.06</v>
      </c>
      <c r="G32" s="34">
        <v>0.032</v>
      </c>
      <c r="H32" s="34">
        <v>10</v>
      </c>
    </row>
    <row r="33" spans="1:4" ht="12.75">
      <c r="A33" s="119" t="s">
        <v>177</v>
      </c>
      <c r="B33" s="43">
        <f>B89</f>
        <v>15.632921877958726</v>
      </c>
      <c r="C33" s="43">
        <f>B90</f>
        <v>33.84987247094715</v>
      </c>
      <c r="D33" s="124"/>
    </row>
    <row r="34" spans="1:8" ht="12.75">
      <c r="A34" s="4" t="s">
        <v>56</v>
      </c>
      <c r="E34" s="43" t="s">
        <v>66</v>
      </c>
      <c r="F34" s="43">
        <f>C37+C38</f>
        <v>3.5677785049974</v>
      </c>
      <c r="G34" s="1" t="s">
        <v>62</v>
      </c>
      <c r="H34" s="118" t="s">
        <v>176</v>
      </c>
    </row>
    <row r="35" spans="2:8" ht="12.75">
      <c r="B35" s="78" t="s">
        <v>57</v>
      </c>
      <c r="C35" s="43">
        <f>-C11/2.4+1.4</f>
        <v>1.0727510416666666</v>
      </c>
      <c r="H35" s="118" t="s">
        <v>181</v>
      </c>
    </row>
    <row r="36" spans="2:8" ht="12.75">
      <c r="B36" s="43" t="s">
        <v>58</v>
      </c>
      <c r="C36" s="43">
        <f>C11/22.4+0.28</f>
        <v>0.31506238839285716</v>
      </c>
      <c r="H36" s="118" t="s">
        <v>179</v>
      </c>
    </row>
    <row r="37" spans="2:8" ht="12.75">
      <c r="B37" s="43" t="s">
        <v>61</v>
      </c>
      <c r="C37" s="43">
        <f>C35*(ABS(C32-B32))^C36</f>
        <v>2.676862267435942</v>
      </c>
      <c r="D37" s="1" t="s">
        <v>62</v>
      </c>
      <c r="E37" s="1" t="s">
        <v>63</v>
      </c>
      <c r="H37" s="118" t="s">
        <v>180</v>
      </c>
    </row>
    <row r="38" spans="2:8" ht="12.75">
      <c r="B38" s="43" t="s">
        <v>64</v>
      </c>
      <c r="C38" s="43">
        <f>(C32+B32+273+273)^3/2*G11/(1/E19+1/E15-1)</f>
        <v>0.8909162375614581</v>
      </c>
      <c r="D38" s="1" t="s">
        <v>62</v>
      </c>
      <c r="E38" s="1" t="s">
        <v>65</v>
      </c>
      <c r="H38" s="118" t="s">
        <v>182</v>
      </c>
    </row>
    <row r="39" ht="12.75">
      <c r="H39" s="41" t="s">
        <v>183</v>
      </c>
    </row>
    <row r="41" spans="1:7" ht="12.75">
      <c r="A41" s="4" t="s">
        <v>67</v>
      </c>
      <c r="E41" s="43" t="s">
        <v>68</v>
      </c>
      <c r="F41" s="43">
        <f>5.7+3.8*F7</f>
        <v>13.3</v>
      </c>
      <c r="G41" s="1" t="s">
        <v>62</v>
      </c>
    </row>
    <row r="44" spans="1:7" ht="12.75">
      <c r="A44" s="4" t="s">
        <v>69</v>
      </c>
      <c r="E44" s="43" t="s">
        <v>70</v>
      </c>
      <c r="F44" s="43">
        <f>(B32+D7+273+273)^3*G11/2/(1/E15-1+2/(1+COS(C11)))</f>
        <v>4.3256479721630585</v>
      </c>
      <c r="G44" s="1" t="s">
        <v>62</v>
      </c>
    </row>
    <row r="47" spans="1:7" ht="12.75">
      <c r="A47" s="4" t="s">
        <v>71</v>
      </c>
      <c r="E47" s="43" t="s">
        <v>95</v>
      </c>
      <c r="F47" s="43">
        <f>(B32+C7+273+273)^3*G11/2/(1/E15-1+2/(1-COS(C11)))</f>
        <v>0.7695716508187173</v>
      </c>
      <c r="G47" s="1" t="s">
        <v>62</v>
      </c>
    </row>
    <row r="50" spans="1:7" ht="12.75">
      <c r="A50" s="4" t="s">
        <v>73</v>
      </c>
      <c r="C50" s="3"/>
      <c r="D50" s="78" t="s">
        <v>74</v>
      </c>
      <c r="E50" s="43">
        <f>F19*F15/(1-H15*(1-F19))</f>
        <v>0.7703741014130352</v>
      </c>
      <c r="F50" s="1" t="s">
        <v>77</v>
      </c>
      <c r="G50" s="120" t="s">
        <v>184</v>
      </c>
    </row>
    <row r="51" spans="1:7" ht="12.75">
      <c r="A51" s="4" t="s">
        <v>75</v>
      </c>
      <c r="D51" s="78" t="s">
        <v>76</v>
      </c>
      <c r="E51" s="43">
        <f>E50*B7*B11</f>
        <v>8652.523538378467</v>
      </c>
      <c r="F51" s="1" t="s">
        <v>78</v>
      </c>
      <c r="G51" s="120" t="s">
        <v>185</v>
      </c>
    </row>
    <row r="54" spans="1:7" ht="12.75">
      <c r="A54" s="4" t="s">
        <v>79</v>
      </c>
      <c r="D54" s="78" t="s">
        <v>80</v>
      </c>
      <c r="E54" s="43">
        <f>G15*(1+F15/(1/(1-F19)-H15))</f>
        <v>0.05846203664695961</v>
      </c>
      <c r="F54" s="1" t="s">
        <v>77</v>
      </c>
      <c r="G54" s="41" t="s">
        <v>186</v>
      </c>
    </row>
    <row r="55" spans="1:6" ht="12.75">
      <c r="A55" s="4" t="s">
        <v>75</v>
      </c>
      <c r="D55" s="78" t="s">
        <v>81</v>
      </c>
      <c r="E55" s="43">
        <f>E54*B7*B11</f>
        <v>656.621435302061</v>
      </c>
      <c r="F55" s="1" t="s">
        <v>78</v>
      </c>
    </row>
    <row r="58" spans="1:6" ht="12.75">
      <c r="A58" s="4" t="s">
        <v>82</v>
      </c>
      <c r="D58" s="43" t="s">
        <v>94</v>
      </c>
      <c r="E58" s="43">
        <f>IF(C59&lt;2500,C63,C65)</f>
        <v>372.88685704832136</v>
      </c>
      <c r="F58" s="5" t="s">
        <v>62</v>
      </c>
    </row>
    <row r="59" spans="2:4" ht="12.75">
      <c r="B59" s="79" t="s">
        <v>85</v>
      </c>
      <c r="C59" s="43">
        <f>4*E27/3.14159/E23/F27/G23</f>
        <v>1162.9892402224207</v>
      </c>
      <c r="D59" s="1" t="s">
        <v>77</v>
      </c>
    </row>
    <row r="60" spans="2:4" ht="12.75">
      <c r="B60" s="43" t="s">
        <v>93</v>
      </c>
      <c r="C60" s="43">
        <f>E27/C27/3.14159/E23/E23*4/G23</f>
        <v>0.07774670113389238</v>
      </c>
      <c r="D60" s="1" t="s">
        <v>88</v>
      </c>
    </row>
    <row r="61" spans="2:5" ht="13.5" thickBot="1">
      <c r="B61" s="73" t="s">
        <v>89</v>
      </c>
      <c r="C61" s="73">
        <f>F27*D27/G27</f>
        <v>2.9631076923076924</v>
      </c>
      <c r="D61" s="1" t="s">
        <v>77</v>
      </c>
      <c r="E61" s="41" t="s">
        <v>187</v>
      </c>
    </row>
    <row r="62" spans="1:4" ht="12.75">
      <c r="A62" s="6" t="s">
        <v>91</v>
      </c>
      <c r="B62" s="80" t="s">
        <v>90</v>
      </c>
      <c r="C62" s="81">
        <f>3.66+0.0668*(C59*C61*E23/F23)/(1+0.04*(C59*C61*E23/F23)^(2/3))</f>
        <v>4.015704614366538</v>
      </c>
      <c r="D62" s="1" t="s">
        <v>77</v>
      </c>
    </row>
    <row r="63" spans="1:4" ht="13.5" thickBot="1">
      <c r="A63" s="6"/>
      <c r="B63" s="82" t="s">
        <v>94</v>
      </c>
      <c r="C63" s="83">
        <f>C62*G27/E23</f>
        <v>372.88685704832136</v>
      </c>
      <c r="D63" s="1" t="s">
        <v>77</v>
      </c>
    </row>
    <row r="64" spans="1:4" ht="12.75">
      <c r="A64" s="6" t="s">
        <v>92</v>
      </c>
      <c r="B64" s="80" t="s">
        <v>90</v>
      </c>
      <c r="C64" s="81">
        <f>0.023*C59^0.8*C61^0.33</f>
        <v>9.329643462465297</v>
      </c>
      <c r="D64" s="1" t="s">
        <v>77</v>
      </c>
    </row>
    <row r="65" spans="1:4" ht="13.5" thickBot="1">
      <c r="A65" s="6"/>
      <c r="B65" s="82" t="s">
        <v>94</v>
      </c>
      <c r="C65" s="83">
        <f>C64*G27/E23</f>
        <v>866.324035800349</v>
      </c>
      <c r="D65" s="1" t="s">
        <v>77</v>
      </c>
    </row>
    <row r="68" ht="13.5" thickBot="1">
      <c r="A68" s="2" t="s">
        <v>96</v>
      </c>
    </row>
    <row r="69" spans="2:4" ht="12.75">
      <c r="B69" s="80" t="s">
        <v>97</v>
      </c>
      <c r="C69" s="84">
        <f>(F41+F47)*B11</f>
        <v>239.1827180639182</v>
      </c>
      <c r="D69" s="1" t="s">
        <v>98</v>
      </c>
    </row>
    <row r="70" spans="2:4" ht="13.5" thickBot="1">
      <c r="B70" s="82" t="s">
        <v>99</v>
      </c>
      <c r="C70" s="85">
        <f>F44*B11</f>
        <v>73.53601552677199</v>
      </c>
      <c r="D70" s="1" t="s">
        <v>98</v>
      </c>
    </row>
    <row r="71" spans="2:4" ht="12.75">
      <c r="B71" s="80" t="s">
        <v>100</v>
      </c>
      <c r="C71" s="84">
        <f>F34*B11</f>
        <v>60.6522345849558</v>
      </c>
      <c r="D71" s="1" t="s">
        <v>98</v>
      </c>
    </row>
    <row r="72" spans="2:4" ht="12.75">
      <c r="B72" s="86" t="s">
        <v>101</v>
      </c>
      <c r="C72" s="87">
        <f>B11/(F32/G32+1/H32)</f>
        <v>8.60759493670886</v>
      </c>
      <c r="D72" s="1" t="s">
        <v>98</v>
      </c>
    </row>
    <row r="73" spans="2:6" ht="12.75">
      <c r="B73" s="86" t="s">
        <v>107</v>
      </c>
      <c r="C73" s="87">
        <f>E27*D27*F23*F74</f>
        <v>1115.227655415183</v>
      </c>
      <c r="D73" s="1" t="s">
        <v>98</v>
      </c>
      <c r="F73" s="78" t="s">
        <v>108</v>
      </c>
    </row>
    <row r="74" spans="2:6" ht="13.5" thickBot="1">
      <c r="B74" s="82" t="s">
        <v>109</v>
      </c>
      <c r="C74" s="85">
        <f>E27*D27/(1/(1-EXP(-F74*F23))-1/F74/F23)</f>
        <v>598.5844685340282</v>
      </c>
      <c r="D74" s="1" t="s">
        <v>98</v>
      </c>
      <c r="F74" s="43">
        <f>E58*3.14159*E23*G23/MAX(0.000000001,E27)/D27</f>
        <v>0.66588706437496</v>
      </c>
    </row>
    <row r="75" spans="2:4" ht="12.75">
      <c r="B75" s="80" t="s">
        <v>110</v>
      </c>
      <c r="C75" s="88">
        <f>C15*B15*D15*B11</f>
        <v>100725</v>
      </c>
      <c r="D75" s="1" t="s">
        <v>113</v>
      </c>
    </row>
    <row r="76" spans="2:5" ht="12.75">
      <c r="B76" s="86" t="s">
        <v>111</v>
      </c>
      <c r="C76" s="89">
        <f>B11*B19*C19*D19+C23*D23*3.14159/4*((E23+2*B23)^2-E23^2)*F23*G23</f>
        <v>136249.66111430002</v>
      </c>
      <c r="D76" s="1" t="s">
        <v>113</v>
      </c>
      <c r="E76" s="41" t="s">
        <v>189</v>
      </c>
    </row>
    <row r="77" spans="2:4" ht="13.5" thickBot="1">
      <c r="B77" s="82" t="s">
        <v>112</v>
      </c>
      <c r="C77" s="90">
        <f>C27*D27*3.14159*E23^2/4*F23*G23</f>
        <v>21541.750010919743</v>
      </c>
      <c r="D77" s="1" t="s">
        <v>113</v>
      </c>
    </row>
    <row r="79" spans="1:5" ht="12.75">
      <c r="A79" s="4" t="s">
        <v>114</v>
      </c>
      <c r="E79" s="41" t="s">
        <v>188</v>
      </c>
    </row>
    <row r="80" ht="13.5" thickBot="1"/>
    <row r="81" spans="1:7" ht="12.75">
      <c r="A81" s="2" t="s">
        <v>115</v>
      </c>
      <c r="B81" s="94">
        <f>C71+C69+C70</f>
        <v>373.370968175646</v>
      </c>
      <c r="C81" s="95">
        <f>-C71</f>
        <v>-60.6522345849558</v>
      </c>
      <c r="D81" s="96">
        <f>0</f>
        <v>0</v>
      </c>
      <c r="F81" s="2" t="s">
        <v>116</v>
      </c>
      <c r="G81" s="91">
        <f>C69*C7+C70*D7+E55</f>
        <v>3783.808771208963</v>
      </c>
    </row>
    <row r="82" spans="2:7" ht="12.75">
      <c r="B82" s="97">
        <f>-C71</f>
        <v>-60.6522345849558</v>
      </c>
      <c r="C82" s="50">
        <f>C71+C72+C73</f>
        <v>1184.4874849368477</v>
      </c>
      <c r="D82" s="98">
        <f>-C73</f>
        <v>-1115.227655415183</v>
      </c>
      <c r="G82" s="92">
        <f>C72*E7+E51</f>
        <v>8738.599487745556</v>
      </c>
    </row>
    <row r="83" spans="2:7" ht="13.5" thickBot="1">
      <c r="B83" s="99">
        <v>0</v>
      </c>
      <c r="C83" s="100">
        <f>-C73</f>
        <v>-1115.227655415183</v>
      </c>
      <c r="D83" s="101">
        <f>C73+C74</f>
        <v>1713.8121239492114</v>
      </c>
      <c r="G83" s="93">
        <f>C74*B27</f>
        <v>8978.767028010423</v>
      </c>
    </row>
    <row r="84" ht="13.5" thickBot="1"/>
    <row r="85" spans="1:4" ht="12.75">
      <c r="A85" s="2" t="s">
        <v>117</v>
      </c>
      <c r="B85" s="102">
        <f>INDEX(MINVERSE(B81:D83),1,1)</f>
        <v>0.0027370828575817682</v>
      </c>
      <c r="C85" s="103">
        <f>INDEX(MINVERSE(B81:D83),1,2)</f>
        <v>0.0003618543762229717</v>
      </c>
      <c r="D85" s="104">
        <f>INDEX(MINVERSE(B81:D83),1,3)</f>
        <v>0.0002354692220679071</v>
      </c>
    </row>
    <row r="86" spans="2:4" ht="12.75">
      <c r="B86" s="105">
        <f>INDEX(MINVERSE(B81:D83),2,1)</f>
        <v>0.0003618543762229717</v>
      </c>
      <c r="C86" s="47">
        <f>INDEX(MINVERSE(B81:D83),2,2)</f>
        <v>0.002227550554625025</v>
      </c>
      <c r="D86" s="106">
        <f>INDEX(MINVERSE(B81:D83),2,3)</f>
        <v>0.0014495322723174276</v>
      </c>
    </row>
    <row r="87" spans="2:4" ht="13.5" thickBot="1">
      <c r="B87" s="107">
        <f>INDEX(MINVERSE(B81:D83),3,1)</f>
        <v>0.00023546922206790712</v>
      </c>
      <c r="C87" s="108">
        <f>INDEX(MINVERSE(B81:D83),3,2)</f>
        <v>0.0014495322723174278</v>
      </c>
      <c r="D87" s="109">
        <f>INDEX(MINVERSE(B81:D83),3,3)</f>
        <v>0.0015267475593974437</v>
      </c>
    </row>
    <row r="88" ht="13.5" thickBot="1"/>
    <row r="89" spans="1:5" ht="12.75">
      <c r="A89" s="2" t="s">
        <v>118</v>
      </c>
      <c r="B89" s="110">
        <f>INDEX(MMULT(B85:D87,G81:G83),1,1)</f>
        <v>15.632921877958726</v>
      </c>
      <c r="C89" s="1" t="s">
        <v>121</v>
      </c>
      <c r="D89" s="41" t="s">
        <v>191</v>
      </c>
      <c r="E89" s="41"/>
    </row>
    <row r="90" spans="1:5" ht="12.75">
      <c r="A90" s="2" t="s">
        <v>119</v>
      </c>
      <c r="B90" s="111">
        <f>INDEX(MMULT(B85:D87,G81:G83),2,1)</f>
        <v>33.84987247094715</v>
      </c>
      <c r="C90" s="1" t="s">
        <v>122</v>
      </c>
      <c r="D90" s="41" t="s">
        <v>192</v>
      </c>
      <c r="E90" s="41" t="s">
        <v>190</v>
      </c>
    </row>
    <row r="91" spans="1:4" ht="13.5" thickBot="1">
      <c r="A91" s="2" t="s">
        <v>120</v>
      </c>
      <c r="B91" s="112">
        <f>INDEX(MMULT(B85:D87,G81:G83),3,1)</f>
        <v>27.26616312656718</v>
      </c>
      <c r="C91" s="1" t="s">
        <v>123</v>
      </c>
      <c r="D91" s="41" t="s">
        <v>193</v>
      </c>
    </row>
    <row r="92" ht="13.5" thickBot="1"/>
    <row r="93" spans="1:9" ht="13.5" thickBot="1">
      <c r="A93" s="2" t="s">
        <v>124</v>
      </c>
      <c r="B93" s="113">
        <f>B27+F23*F74*(B90-B91)</f>
        <v>32.53602755210868</v>
      </c>
      <c r="C93" s="1" t="s">
        <v>127</v>
      </c>
      <c r="E93" s="4" t="s">
        <v>195</v>
      </c>
      <c r="G93" s="91">
        <f>F41*B11*(B89-C7)</f>
        <v>1273.603636606468</v>
      </c>
      <c r="H93" s="1" t="s">
        <v>78</v>
      </c>
      <c r="I93" s="41" t="s">
        <v>199</v>
      </c>
    </row>
    <row r="94" spans="1:9" ht="13.5" thickBot="1">
      <c r="A94" s="7" t="s">
        <v>125</v>
      </c>
      <c r="B94" s="114">
        <f>E27*D27*(B93-B27)</f>
        <v>7342.3347360679045</v>
      </c>
      <c r="C94" s="1" t="s">
        <v>78</v>
      </c>
      <c r="E94" s="4" t="s">
        <v>196</v>
      </c>
      <c r="G94" s="92">
        <f>F44*B11*(B89-D7)+B11*F47*(B89-C7)</f>
        <v>487.91655948407714</v>
      </c>
      <c r="H94" s="1" t="s">
        <v>78</v>
      </c>
      <c r="I94" s="41" t="s">
        <v>200</v>
      </c>
    </row>
    <row r="95" spans="1:9" ht="13.5" thickBot="1">
      <c r="A95" s="7" t="s">
        <v>126</v>
      </c>
      <c r="B95" s="113">
        <f>IF(B7&gt;0.1,B94/B7/B11,0)</f>
        <v>0.6537219459136032</v>
      </c>
      <c r="C95" s="1" t="s">
        <v>77</v>
      </c>
      <c r="E95" s="4" t="s">
        <v>197</v>
      </c>
      <c r="G95" s="93">
        <f>(B90-E7)/(F32/G32+1/H32)*B11</f>
        <v>205.2900415220767</v>
      </c>
      <c r="H95" s="1" t="s">
        <v>78</v>
      </c>
      <c r="I95" s="41" t="s">
        <v>203</v>
      </c>
    </row>
    <row r="96" spans="1:7" ht="13.5" thickBot="1">
      <c r="A96" s="7" t="s">
        <v>154</v>
      </c>
      <c r="B96" s="113">
        <f>1/B11*(C72+1/(1/C71+1/(C69+C70)))</f>
        <v>3.494539957596303</v>
      </c>
      <c r="C96" s="1" t="s">
        <v>62</v>
      </c>
      <c r="F96" s="122" t="s">
        <v>198</v>
      </c>
      <c r="G96" s="121">
        <f>SUM(G93:G95)</f>
        <v>1966.810237612622</v>
      </c>
    </row>
    <row r="97" spans="6:11" ht="13.5" thickBot="1">
      <c r="F97" s="122"/>
      <c r="G97" s="5"/>
      <c r="K97" t="s">
        <v>205</v>
      </c>
    </row>
    <row r="98" spans="6:11" ht="13.5" thickBot="1">
      <c r="F98" s="122" t="s">
        <v>201</v>
      </c>
      <c r="G98" s="121">
        <f>B96*B11*(B90-C7)</f>
        <v>1416.853649666115</v>
      </c>
      <c r="H98" s="1" t="s">
        <v>78</v>
      </c>
      <c r="I98" s="41" t="s">
        <v>202</v>
      </c>
      <c r="K98" t="s">
        <v>204</v>
      </c>
    </row>
    <row r="99" spans="1:11" ht="12.75">
      <c r="A99" s="4" t="s">
        <v>155</v>
      </c>
      <c r="K99" t="s">
        <v>206</v>
      </c>
    </row>
    <row r="100" spans="1:2" ht="12.75">
      <c r="A100" s="7" t="s">
        <v>157</v>
      </c>
      <c r="B100" s="43">
        <f>(B96*B11/(1-EXP(-F74*F23))+E27*D27)/E50/B11</f>
        <v>36.846736822738734</v>
      </c>
    </row>
    <row r="101" spans="1:2" ht="12.75">
      <c r="A101" s="7" t="s">
        <v>158</v>
      </c>
      <c r="B101" s="43">
        <f>B96/E50</f>
        <v>4.53615970628627</v>
      </c>
    </row>
    <row r="102" spans="1:3" ht="12.75">
      <c r="A102" s="42" t="s">
        <v>156</v>
      </c>
      <c r="B102" s="43">
        <f>B100*(B93-B27)+B101*(B27-C7)</f>
        <v>668.8261906602752</v>
      </c>
      <c r="C102" s="41" t="s">
        <v>159</v>
      </c>
    </row>
    <row r="105" ht="12.75">
      <c r="A105" s="4" t="s">
        <v>161</v>
      </c>
    </row>
    <row r="106" spans="1:3" ht="12.75">
      <c r="A106" s="2" t="s">
        <v>160</v>
      </c>
      <c r="B106" s="43">
        <f>C7+((B27+B93)/2-C7)*(1+(F41+F47)/F44)/(1-1/B96/(F32/G32+1/H32))</f>
        <v>78.47055836431183</v>
      </c>
      <c r="C106" s="41" t="s">
        <v>166</v>
      </c>
    </row>
    <row r="107" ht="12.75">
      <c r="C107" s="41" t="s">
        <v>167</v>
      </c>
    </row>
    <row r="109" ht="12.75">
      <c r="A109" s="4" t="s">
        <v>163</v>
      </c>
    </row>
    <row r="110" spans="2:3" ht="12.75">
      <c r="B110" s="116">
        <f>F23/C60</f>
        <v>51.4491282802</v>
      </c>
      <c r="C110" s="1" t="s">
        <v>164</v>
      </c>
    </row>
    <row r="111" ht="12.75">
      <c r="B111" s="41" t="s">
        <v>165</v>
      </c>
    </row>
  </sheetData>
  <sheetProtection sheet="1" objects="1" scenarios="1"/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ESIGEC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 Fraisse</dc:creator>
  <cp:keywords/>
  <dc:description/>
  <cp:lastModifiedBy>fraisse</cp:lastModifiedBy>
  <dcterms:created xsi:type="dcterms:W3CDTF">2001-12-22T15:56:04Z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